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概算汇总表" sheetId="1" r:id="rId1"/>
    <sheet name="总投资比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<sst xmlns="http://schemas.openxmlformats.org/spreadsheetml/2006/main" count="90" uniqueCount="58">
  <si>
    <t>综合概算表</t>
  </si>
  <si>
    <t>项目名称：金凤区贺兰山中路街道综合养老服务中心项目</t>
  </si>
  <si>
    <t>序号</t>
  </si>
  <si>
    <t>工程及费用名称</t>
  </si>
  <si>
    <t>概算价值（万元）</t>
  </si>
  <si>
    <t>技术经济指标</t>
  </si>
  <si>
    <t>备注</t>
  </si>
  <si>
    <t>土建及装修</t>
  </si>
  <si>
    <t>安装工程费</t>
  </si>
  <si>
    <t>设备</t>
  </si>
  <si>
    <t>其它费用</t>
  </si>
  <si>
    <t>合计（万元）</t>
  </si>
  <si>
    <t>单位</t>
  </si>
  <si>
    <t>面积</t>
  </si>
  <si>
    <t>单位/㎡造价（元）</t>
  </si>
  <si>
    <t>投资比（%）</t>
  </si>
  <si>
    <t>一</t>
  </si>
  <si>
    <t>建筑工程费</t>
  </si>
  <si>
    <t xml:space="preserve"> </t>
  </si>
  <si>
    <t>金凤区贺兰上中路街道综合养老服务中心项目</t>
  </si>
  <si>
    <t>㎡</t>
  </si>
  <si>
    <t>综合养老服务中心装修改造工程</t>
  </si>
  <si>
    <t>综合养老服务中心空调通风工程</t>
  </si>
  <si>
    <t>综合养老服务中心给排水及消防工程</t>
  </si>
  <si>
    <t>综合养老服务中心电气工程</t>
  </si>
  <si>
    <t>配套设备</t>
  </si>
  <si>
    <t>办公设备</t>
  </si>
  <si>
    <t>个</t>
  </si>
  <si>
    <t>午休设备</t>
  </si>
  <si>
    <t>张</t>
  </si>
  <si>
    <t>生活服务设备</t>
  </si>
  <si>
    <t>把</t>
  </si>
  <si>
    <t>理疗设备</t>
  </si>
  <si>
    <t>台</t>
  </si>
  <si>
    <t>桌椅</t>
  </si>
  <si>
    <t>二</t>
  </si>
  <si>
    <t>项目建设管理费</t>
  </si>
  <si>
    <t>财建[2016]504号</t>
  </si>
  <si>
    <t>工程监理费</t>
  </si>
  <si>
    <t>发改价[2015]299号</t>
  </si>
  <si>
    <t>测量费</t>
  </si>
  <si>
    <t>工程设计费</t>
  </si>
  <si>
    <t>施工图审查费</t>
  </si>
  <si>
    <t>宁勘设协（2016）号</t>
  </si>
  <si>
    <t>前期工作咨询费</t>
  </si>
  <si>
    <t>预（结）算编审费</t>
  </si>
  <si>
    <t>[2010]87号文件规定</t>
  </si>
  <si>
    <t>招投标代理服务费</t>
  </si>
  <si>
    <t>三</t>
  </si>
  <si>
    <t>预备费</t>
  </si>
  <si>
    <t>（建筑工程费加其他费）*3%</t>
  </si>
  <si>
    <t>总投资</t>
  </si>
  <si>
    <t>金凤区贺兰山中路街道综合养老服务中心项目设计投资比表</t>
  </si>
  <si>
    <t>土建工程费</t>
  </si>
  <si>
    <t>设备工程费</t>
  </si>
  <si>
    <t>建筑工程</t>
  </si>
  <si>
    <t xml:space="preserve">总投资 </t>
  </si>
  <si>
    <t>投资比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</si>
</sst>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4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0" xfId="0" applyNumberFormat="1" applyFill="1">
      <alignment vertical="center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2" borderId="0" xfId="0" applyNumberForma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177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7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E13" sqref="E13"/>
    </sheetView>
  </sheetViews>
  <sheetFormatPr defaultColWidth="9" defaultRowHeight="13.5"/>
  <cols>
    <col min="1" max="1" width="6.125" style="12" customWidth="1"/>
    <col min="2" max="2" width="21.625" style="13" customWidth="1"/>
    <col min="3" max="3" width="13.5" style="14" customWidth="1"/>
    <col min="4" max="4" width="12.625" style="15" customWidth="1"/>
    <col min="5" max="5" width="12.25" style="12" customWidth="1"/>
    <col min="6" max="6" width="11.875" style="12" customWidth="1"/>
    <col min="7" max="7" width="15.25" style="16" customWidth="1"/>
    <col min="8" max="8" width="7.375" style="16" customWidth="1"/>
    <col min="9" max="9" width="7.75" style="16" customWidth="1"/>
    <col min="10" max="10" width="15.75" style="17" customWidth="1"/>
    <col min="11" max="11" width="18.5" style="12" customWidth="1"/>
    <col min="12" max="12" width="9.625"/>
  </cols>
  <sheetData>
    <row r="1" spans="1:11">
      <c r="A1" s="18" t="s">
        <v>0</v>
      </c>
      <c r="B1" s="19"/>
      <c r="C1" s="20"/>
      <c r="D1" s="19"/>
      <c r="E1" s="19"/>
      <c r="F1" s="19"/>
      <c r="G1" s="20"/>
      <c r="H1" s="20"/>
      <c r="I1" s="20"/>
      <c r="J1" s="20"/>
      <c r="K1" s="19"/>
    </row>
    <row r="2" ht="24" customHeight="1" spans="1:11">
      <c r="A2" s="19"/>
      <c r="B2" s="19"/>
      <c r="C2" s="20"/>
      <c r="D2" s="19"/>
      <c r="E2" s="19"/>
      <c r="F2" s="19"/>
      <c r="G2" s="20"/>
      <c r="H2" s="20"/>
      <c r="I2" s="20"/>
      <c r="J2" s="20"/>
      <c r="K2" s="19"/>
    </row>
    <row r="3" ht="24" customHeight="1" spans="1:11">
      <c r="A3" s="21" t="s">
        <v>1</v>
      </c>
      <c r="B3" s="21"/>
      <c r="C3" s="22"/>
      <c r="D3" s="21"/>
      <c r="E3" s="21"/>
      <c r="F3" s="21"/>
      <c r="G3" s="22"/>
      <c r="H3" s="22"/>
      <c r="I3" s="22"/>
      <c r="J3" s="22"/>
      <c r="K3" s="21"/>
    </row>
    <row r="4" ht="27" customHeight="1" spans="1:11">
      <c r="A4" s="23" t="s">
        <v>2</v>
      </c>
      <c r="B4" s="23" t="s">
        <v>3</v>
      </c>
      <c r="C4" s="24" t="s">
        <v>4</v>
      </c>
      <c r="D4" s="25"/>
      <c r="E4" s="23"/>
      <c r="F4" s="23"/>
      <c r="G4" s="26"/>
      <c r="H4" s="26" t="s">
        <v>5</v>
      </c>
      <c r="I4" s="26"/>
      <c r="J4" s="26"/>
      <c r="K4" s="23" t="s">
        <v>6</v>
      </c>
    </row>
    <row r="5" ht="22.9" customHeight="1" spans="1:11">
      <c r="A5" s="23"/>
      <c r="B5" s="23"/>
      <c r="C5" s="24" t="s">
        <v>7</v>
      </c>
      <c r="D5" s="25" t="s">
        <v>8</v>
      </c>
      <c r="E5" s="23" t="s">
        <v>9</v>
      </c>
      <c r="F5" s="23" t="s">
        <v>10</v>
      </c>
      <c r="G5" s="26" t="s">
        <v>11</v>
      </c>
      <c r="H5" s="26" t="s">
        <v>12</v>
      </c>
      <c r="I5" s="26" t="s">
        <v>13</v>
      </c>
      <c r="J5" s="26" t="s">
        <v>14</v>
      </c>
      <c r="K5" s="23" t="s">
        <v>15</v>
      </c>
    </row>
    <row r="6" ht="27.95" customHeight="1" spans="1:11">
      <c r="A6" s="27" t="s">
        <v>16</v>
      </c>
      <c r="B6" s="28" t="s">
        <v>17</v>
      </c>
      <c r="C6" s="29">
        <f>C7</f>
        <v>48.57730824</v>
      </c>
      <c r="D6" s="29">
        <f>D7</f>
        <v>58.62</v>
      </c>
      <c r="E6" s="30">
        <f>E12</f>
        <v>72.37</v>
      </c>
      <c r="F6" s="27"/>
      <c r="G6" s="30">
        <v>179.57</v>
      </c>
      <c r="H6" s="27" t="s">
        <v>18</v>
      </c>
      <c r="I6" s="27"/>
      <c r="J6" s="41"/>
      <c r="K6" s="37">
        <f>G6/G28*100</f>
        <v>89.3731363746029</v>
      </c>
    </row>
    <row r="7" ht="27.95" customHeight="1" spans="1:11">
      <c r="A7" s="31">
        <v>1</v>
      </c>
      <c r="B7" s="32" t="s">
        <v>19</v>
      </c>
      <c r="C7" s="33">
        <f>C8</f>
        <v>48.57730824</v>
      </c>
      <c r="D7" s="33">
        <v>58.62</v>
      </c>
      <c r="E7" s="31"/>
      <c r="F7" s="31"/>
      <c r="G7" s="34">
        <f>C7+D7+E7</f>
        <v>107.19730824</v>
      </c>
      <c r="H7" s="31" t="s">
        <v>20</v>
      </c>
      <c r="I7" s="31">
        <v>751.18</v>
      </c>
      <c r="J7" s="34">
        <f>G7/I7*10000</f>
        <v>1427.0522143827</v>
      </c>
      <c r="K7" s="31"/>
    </row>
    <row r="8" ht="27.95" customHeight="1" spans="1:11">
      <c r="A8" s="23">
        <v>1.1</v>
      </c>
      <c r="B8" s="35" t="s">
        <v>21</v>
      </c>
      <c r="C8" s="25">
        <f>I8*J8/10000</f>
        <v>48.57730824</v>
      </c>
      <c r="D8" s="25" t="s">
        <v>18</v>
      </c>
      <c r="E8" s="23"/>
      <c r="F8" s="23"/>
      <c r="G8" s="23"/>
      <c r="H8" s="26" t="s">
        <v>20</v>
      </c>
      <c r="I8" s="23">
        <v>751.18</v>
      </c>
      <c r="J8" s="6">
        <v>646.68</v>
      </c>
      <c r="K8" s="23" t="s">
        <v>18</v>
      </c>
    </row>
    <row r="9" ht="27.95" customHeight="1" spans="1:11">
      <c r="A9" s="23">
        <v>1.2</v>
      </c>
      <c r="B9" s="35" t="s">
        <v>22</v>
      </c>
      <c r="C9" s="25"/>
      <c r="D9" s="25">
        <f>I9*J9/10000</f>
        <v>29.52287636</v>
      </c>
      <c r="E9" s="23"/>
      <c r="F9" s="23"/>
      <c r="G9" s="23"/>
      <c r="H9" s="26" t="s">
        <v>20</v>
      </c>
      <c r="I9" s="23">
        <v>751.18</v>
      </c>
      <c r="J9" s="6">
        <v>393.02</v>
      </c>
      <c r="K9" s="23"/>
    </row>
    <row r="10" ht="27.95" customHeight="1" spans="1:11">
      <c r="A10" s="23">
        <v>1.3</v>
      </c>
      <c r="B10" s="35" t="s">
        <v>23</v>
      </c>
      <c r="C10" s="25"/>
      <c r="D10" s="25">
        <f>I10*J10/10000</f>
        <v>7.86260106</v>
      </c>
      <c r="E10" s="23"/>
      <c r="F10" s="23"/>
      <c r="G10" s="23"/>
      <c r="H10" s="26" t="s">
        <v>20</v>
      </c>
      <c r="I10" s="23">
        <v>751.18</v>
      </c>
      <c r="J10" s="6">
        <v>104.67</v>
      </c>
      <c r="K10" s="23"/>
    </row>
    <row r="11" ht="27.95" customHeight="1" spans="1:11">
      <c r="A11" s="23">
        <v>1.4</v>
      </c>
      <c r="B11" s="35" t="s">
        <v>24</v>
      </c>
      <c r="C11" s="25"/>
      <c r="D11" s="25">
        <v>21.24</v>
      </c>
      <c r="E11" s="23"/>
      <c r="F11" s="23"/>
      <c r="G11" s="23"/>
      <c r="H11" s="26" t="s">
        <v>20</v>
      </c>
      <c r="I11" s="23">
        <v>751.18</v>
      </c>
      <c r="J11" s="6">
        <v>282.63</v>
      </c>
      <c r="K11" s="23"/>
    </row>
    <row r="12" ht="27.95" customHeight="1" spans="1:15">
      <c r="A12" s="31">
        <v>2</v>
      </c>
      <c r="B12" s="32" t="s">
        <v>25</v>
      </c>
      <c r="C12" s="33" t="s">
        <v>18</v>
      </c>
      <c r="D12" s="33" t="s">
        <v>18</v>
      </c>
      <c r="E12" s="34">
        <v>72.37</v>
      </c>
      <c r="F12" s="31"/>
      <c r="G12" s="34">
        <f>E12</f>
        <v>72.37</v>
      </c>
      <c r="H12" s="31" t="s">
        <v>20</v>
      </c>
      <c r="I12" s="42" t="s">
        <v>18</v>
      </c>
      <c r="J12" s="34"/>
      <c r="K12" s="31"/>
      <c r="O12" s="1"/>
    </row>
    <row r="13" ht="27.95" customHeight="1" spans="1:11">
      <c r="A13" s="23">
        <v>2.1</v>
      </c>
      <c r="B13" s="35" t="s">
        <v>26</v>
      </c>
      <c r="C13" s="25" t="s">
        <v>18</v>
      </c>
      <c r="D13" s="25" t="s">
        <v>18</v>
      </c>
      <c r="E13" s="6">
        <f>97119/10000</f>
        <v>9.7119</v>
      </c>
      <c r="F13" s="23"/>
      <c r="G13" s="23"/>
      <c r="H13" s="26" t="s">
        <v>27</v>
      </c>
      <c r="I13" s="23">
        <f>8+6+8+2+3+10</f>
        <v>37</v>
      </c>
      <c r="J13" s="6">
        <f>E13/I13*10000</f>
        <v>2624.83783783784</v>
      </c>
      <c r="K13" s="23" t="s">
        <v>18</v>
      </c>
    </row>
    <row r="14" ht="27.95" customHeight="1" spans="1:11">
      <c r="A14" s="23">
        <v>2.2</v>
      </c>
      <c r="B14" s="35" t="s">
        <v>28</v>
      </c>
      <c r="C14" s="25"/>
      <c r="D14" s="25"/>
      <c r="E14" s="6">
        <f>87200/10000</f>
        <v>8.72</v>
      </c>
      <c r="F14" s="23"/>
      <c r="G14" s="23"/>
      <c r="H14" s="26" t="s">
        <v>29</v>
      </c>
      <c r="I14" s="23">
        <f>15+10+25</f>
        <v>50</v>
      </c>
      <c r="J14" s="6">
        <f>E14/I14*10000</f>
        <v>1744</v>
      </c>
      <c r="K14" s="23"/>
    </row>
    <row r="15" ht="27.95" customHeight="1" spans="1:11">
      <c r="A15" s="23">
        <v>2.3</v>
      </c>
      <c r="B15" s="35" t="s">
        <v>30</v>
      </c>
      <c r="C15" s="25"/>
      <c r="D15" s="25"/>
      <c r="E15" s="6">
        <f>2616/10000</f>
        <v>0.2616</v>
      </c>
      <c r="F15" s="23"/>
      <c r="G15" s="23"/>
      <c r="H15" s="26" t="s">
        <v>31</v>
      </c>
      <c r="I15" s="23">
        <f>8</f>
        <v>8</v>
      </c>
      <c r="J15" s="6">
        <f>E15/I15*10000</f>
        <v>327</v>
      </c>
      <c r="K15" s="23"/>
    </row>
    <row r="16" ht="27.95" customHeight="1" spans="1:11">
      <c r="A16" s="23">
        <v>2.4</v>
      </c>
      <c r="B16" s="35" t="s">
        <v>32</v>
      </c>
      <c r="C16" s="25"/>
      <c r="D16" s="25"/>
      <c r="E16" s="6">
        <f>504247.08/10000</f>
        <v>50.424708</v>
      </c>
      <c r="F16" s="23"/>
      <c r="G16" s="23"/>
      <c r="H16" s="26" t="s">
        <v>33</v>
      </c>
      <c r="I16" s="23">
        <f>3+3+3+5+3+2+6</f>
        <v>25</v>
      </c>
      <c r="J16" s="6">
        <f>E16/I16*10000</f>
        <v>20169.8832</v>
      </c>
      <c r="K16" s="23"/>
    </row>
    <row r="17" ht="27.95" customHeight="1" spans="1:11">
      <c r="A17" s="23">
        <v>2.5</v>
      </c>
      <c r="B17" s="35" t="s">
        <v>34</v>
      </c>
      <c r="C17" s="25"/>
      <c r="D17" s="25"/>
      <c r="E17" s="6">
        <f>32591/10000</f>
        <v>3.2591</v>
      </c>
      <c r="F17" s="23"/>
      <c r="G17" s="23"/>
      <c r="H17" s="26" t="s">
        <v>29</v>
      </c>
      <c r="I17" s="23">
        <f>8+25</f>
        <v>33</v>
      </c>
      <c r="J17" s="6">
        <f>E17/I17*10000</f>
        <v>987.606060606061</v>
      </c>
      <c r="K17" s="23"/>
    </row>
    <row r="18" ht="27.95" customHeight="1" spans="1:11">
      <c r="A18" s="27" t="s">
        <v>35</v>
      </c>
      <c r="B18" s="28" t="s">
        <v>10</v>
      </c>
      <c r="C18" s="36"/>
      <c r="D18" s="36"/>
      <c r="E18" s="27"/>
      <c r="F18" s="37">
        <f>SUM(F19:F26)</f>
        <v>15.49958455</v>
      </c>
      <c r="G18" s="37">
        <f t="shared" ref="G18:G25" si="0">F18</f>
        <v>15.49958455</v>
      </c>
      <c r="H18" s="27"/>
      <c r="I18" s="27"/>
      <c r="J18" s="27"/>
      <c r="K18" s="37">
        <f>G18/G28*100</f>
        <v>7.71424226617385</v>
      </c>
    </row>
    <row r="19" ht="27.95" customHeight="1" spans="1:11">
      <c r="A19" s="23">
        <v>1</v>
      </c>
      <c r="B19" s="38" t="s">
        <v>36</v>
      </c>
      <c r="C19" s="24"/>
      <c r="D19" s="25"/>
      <c r="E19" s="23"/>
      <c r="F19" s="39">
        <f>G6*2%</f>
        <v>3.5914</v>
      </c>
      <c r="G19" s="39">
        <f t="shared" si="0"/>
        <v>3.5914</v>
      </c>
      <c r="H19" s="26"/>
      <c r="I19" s="26"/>
      <c r="J19" s="43" t="s">
        <v>37</v>
      </c>
      <c r="K19" s="23"/>
    </row>
    <row r="20" ht="27.95" customHeight="1" spans="1:11">
      <c r="A20" s="23">
        <v>2</v>
      </c>
      <c r="B20" s="38" t="s">
        <v>38</v>
      </c>
      <c r="C20" s="24"/>
      <c r="D20" s="25"/>
      <c r="E20" s="23"/>
      <c r="F20" s="39">
        <f>G6*1.8%</f>
        <v>3.23226</v>
      </c>
      <c r="G20" s="39">
        <f t="shared" si="0"/>
        <v>3.23226</v>
      </c>
      <c r="H20" s="26"/>
      <c r="I20" s="26"/>
      <c r="J20" s="43" t="s">
        <v>39</v>
      </c>
      <c r="K20" s="23"/>
    </row>
    <row r="21" ht="27.95" customHeight="1" spans="1:11">
      <c r="A21" s="23">
        <v>3</v>
      </c>
      <c r="B21" s="38" t="s">
        <v>40</v>
      </c>
      <c r="C21" s="24"/>
      <c r="D21" s="25"/>
      <c r="E21" s="23"/>
      <c r="F21" s="6">
        <f>G6*0.3%</f>
        <v>0.53871</v>
      </c>
      <c r="G21" s="39">
        <f t="shared" si="0"/>
        <v>0.53871</v>
      </c>
      <c r="H21" s="26"/>
      <c r="I21" s="26"/>
      <c r="J21" s="43" t="s">
        <v>39</v>
      </c>
      <c r="K21" s="23"/>
    </row>
    <row r="22" ht="27.95" customHeight="1" spans="1:11">
      <c r="A22" s="23">
        <v>4</v>
      </c>
      <c r="B22" s="38" t="s">
        <v>41</v>
      </c>
      <c r="C22" s="24"/>
      <c r="D22" s="25"/>
      <c r="E22" s="23"/>
      <c r="F22" s="39">
        <f>G6*2.8%</f>
        <v>5.02796</v>
      </c>
      <c r="G22" s="39">
        <f t="shared" si="0"/>
        <v>5.02796</v>
      </c>
      <c r="H22" s="26"/>
      <c r="I22" s="26"/>
      <c r="J22" s="43" t="s">
        <v>39</v>
      </c>
      <c r="K22" s="23"/>
    </row>
    <row r="23" ht="27.95" customHeight="1" spans="1:11">
      <c r="A23" s="23">
        <v>5</v>
      </c>
      <c r="B23" s="38" t="s">
        <v>42</v>
      </c>
      <c r="C23" s="24"/>
      <c r="D23" s="25"/>
      <c r="E23" s="23"/>
      <c r="F23" s="39">
        <f>(F21+F22)*6.5%</f>
        <v>0.36183355</v>
      </c>
      <c r="G23" s="39">
        <f t="shared" si="0"/>
        <v>0.36183355</v>
      </c>
      <c r="H23" s="26"/>
      <c r="I23" s="26"/>
      <c r="J23" s="43" t="s">
        <v>43</v>
      </c>
      <c r="K23" s="23"/>
    </row>
    <row r="24" ht="27.95" customHeight="1" spans="1:11">
      <c r="A24" s="23">
        <v>6</v>
      </c>
      <c r="B24" s="38" t="s">
        <v>44</v>
      </c>
      <c r="C24" s="24"/>
      <c r="D24" s="25"/>
      <c r="E24" s="23"/>
      <c r="F24" s="39">
        <f>G6*0.18%</f>
        <v>0.323226</v>
      </c>
      <c r="G24" s="39">
        <f t="shared" si="0"/>
        <v>0.323226</v>
      </c>
      <c r="H24" s="26"/>
      <c r="I24" s="26"/>
      <c r="J24" s="43" t="s">
        <v>39</v>
      </c>
      <c r="K24" s="23"/>
    </row>
    <row r="25" ht="27.95" customHeight="1" spans="1:11">
      <c r="A25" s="23">
        <v>7</v>
      </c>
      <c r="B25" s="38" t="s">
        <v>45</v>
      </c>
      <c r="C25" s="24"/>
      <c r="D25" s="25"/>
      <c r="E25" s="23"/>
      <c r="F25" s="39">
        <f>G6*0.85%</f>
        <v>1.526345</v>
      </c>
      <c r="G25" s="39">
        <f t="shared" si="0"/>
        <v>1.526345</v>
      </c>
      <c r="H25" s="26"/>
      <c r="I25" s="26"/>
      <c r="J25" s="43" t="s">
        <v>46</v>
      </c>
      <c r="K25" s="23"/>
    </row>
    <row r="26" ht="27.95" customHeight="1" spans="1:11">
      <c r="A26" s="23">
        <v>8</v>
      </c>
      <c r="B26" s="38" t="s">
        <v>47</v>
      </c>
      <c r="C26" s="24"/>
      <c r="D26" s="25"/>
      <c r="E26" s="23"/>
      <c r="F26" s="39">
        <f>G6*0.5%</f>
        <v>0.89785</v>
      </c>
      <c r="G26" s="39">
        <f t="shared" ref="G20:G27" si="1">F26</f>
        <v>0.89785</v>
      </c>
      <c r="H26" s="26"/>
      <c r="I26" s="26"/>
      <c r="J26" s="44" t="s">
        <v>39</v>
      </c>
      <c r="K26" s="23"/>
    </row>
    <row r="27" ht="27.95" customHeight="1" spans="1:11">
      <c r="A27" s="27" t="s">
        <v>48</v>
      </c>
      <c r="B27" s="28" t="s">
        <v>49</v>
      </c>
      <c r="C27" s="36"/>
      <c r="D27" s="36"/>
      <c r="E27" s="27"/>
      <c r="F27" s="37">
        <f>(G6+G18)*3%</f>
        <v>5.8520875365</v>
      </c>
      <c r="G27" s="37">
        <f t="shared" si="1"/>
        <v>5.8520875365</v>
      </c>
      <c r="H27" s="27"/>
      <c r="I27" s="27"/>
      <c r="J27" s="45" t="s">
        <v>50</v>
      </c>
      <c r="K27" s="37">
        <v>2.92</v>
      </c>
    </row>
    <row r="28" ht="27.95" customHeight="1" spans="1:11">
      <c r="A28" s="23"/>
      <c r="B28" s="38" t="s">
        <v>51</v>
      </c>
      <c r="C28" s="24"/>
      <c r="D28" s="25"/>
      <c r="E28" s="23"/>
      <c r="F28" s="23"/>
      <c r="G28" s="40">
        <f>G6+G18+G27</f>
        <v>200.9216720865</v>
      </c>
      <c r="H28" s="26"/>
      <c r="I28" s="26"/>
      <c r="J28" s="26"/>
      <c r="K28" s="43">
        <v>100</v>
      </c>
    </row>
  </sheetData>
  <mergeCells count="6">
    <mergeCell ref="A3:K3"/>
    <mergeCell ref="C4:G4"/>
    <mergeCell ref="H4:J4"/>
    <mergeCell ref="A4:A5"/>
    <mergeCell ref="B4:B5"/>
    <mergeCell ref="A1:K2"/>
  </mergeCells>
  <pageMargins left="0.354166666666667" right="0.35416666666666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zoomScale="115" zoomScaleNormal="115" workbookViewId="0">
      <selection activeCell="D16" sqref="D16"/>
    </sheetView>
  </sheetViews>
  <sheetFormatPr defaultColWidth="9" defaultRowHeight="13.5"/>
  <cols>
    <col min="1" max="1" width="4.875" style="1" customWidth="1"/>
    <col min="2" max="2" width="9.75" style="1" customWidth="1"/>
    <col min="3" max="3" width="10.875" style="1" customWidth="1"/>
    <col min="4" max="4" width="9.75" style="1" customWidth="1"/>
    <col min="5" max="5" width="10" style="1" customWidth="1"/>
    <col min="6" max="6" width="9.125" style="1" customWidth="1"/>
    <col min="7" max="7" width="8.125" style="1" customWidth="1"/>
    <col min="8" max="8" width="11.125" style="1" customWidth="1"/>
    <col min="9" max="9" width="15.375" style="1" customWidth="1"/>
    <col min="10" max="16" width="9" style="1"/>
    <col min="17" max="17" width="13" style="1" customWidth="1"/>
    <col min="18" max="19" width="9" style="1"/>
    <col min="20" max="20" width="9.5" style="1" customWidth="1"/>
    <col min="21" max="16384" width="9" style="1"/>
  </cols>
  <sheetData>
    <row r="1" ht="41.45" customHeight="1" spans="1:14">
      <c r="A1" s="2" t="s">
        <v>52</v>
      </c>
      <c r="B1" s="3"/>
      <c r="C1" s="3"/>
      <c r="D1" s="3"/>
      <c r="E1" s="3"/>
      <c r="F1" s="3"/>
      <c r="G1" s="3"/>
      <c r="H1" s="3"/>
      <c r="I1" s="3"/>
      <c r="J1" s="9"/>
      <c r="K1" s="9"/>
      <c r="L1" s="9"/>
      <c r="M1" s="9"/>
      <c r="N1" s="9"/>
    </row>
    <row r="2" ht="22.15" customHeight="1" spans="1:9">
      <c r="A2" s="4" t="s">
        <v>2</v>
      </c>
      <c r="B2" s="4" t="s">
        <v>3</v>
      </c>
      <c r="C2" s="5" t="s">
        <v>4</v>
      </c>
      <c r="D2" s="5"/>
      <c r="E2" s="5"/>
      <c r="F2" s="5"/>
      <c r="G2" s="5"/>
      <c r="H2" s="5"/>
      <c r="I2" s="5" t="s">
        <v>15</v>
      </c>
    </row>
    <row r="3" ht="22.15" customHeight="1" spans="1:9">
      <c r="A3" s="4"/>
      <c r="B3" s="4"/>
      <c r="C3" s="5" t="s">
        <v>53</v>
      </c>
      <c r="D3" s="5" t="s">
        <v>8</v>
      </c>
      <c r="E3" s="5" t="s">
        <v>54</v>
      </c>
      <c r="F3" s="5" t="s">
        <v>10</v>
      </c>
      <c r="G3" s="5" t="s">
        <v>49</v>
      </c>
      <c r="H3" s="5" t="s">
        <v>11</v>
      </c>
      <c r="I3" s="5"/>
    </row>
    <row r="4" ht="22.15" customHeight="1" spans="1:9">
      <c r="A4" s="6" t="s">
        <v>16</v>
      </c>
      <c r="B4" s="7" t="s">
        <v>55</v>
      </c>
      <c r="C4" s="6">
        <f>概算汇总表!C6</f>
        <v>48.57730824</v>
      </c>
      <c r="D4" s="6">
        <f>概算汇总表!D6</f>
        <v>58.62</v>
      </c>
      <c r="E4" s="6">
        <f>概算汇总表!E6</f>
        <v>72.37</v>
      </c>
      <c r="F4" s="6"/>
      <c r="G4" s="6"/>
      <c r="H4" s="6">
        <f>C4+D4+E4</f>
        <v>179.56730824</v>
      </c>
      <c r="I4" s="6">
        <f>H4/H13*100</f>
        <v>89.3729940039498</v>
      </c>
    </row>
    <row r="5" ht="22.15" customHeight="1" spans="1:9">
      <c r="A5" s="6"/>
      <c r="B5" s="7"/>
      <c r="C5" s="6"/>
      <c r="D5" s="6"/>
      <c r="E5" s="6"/>
      <c r="F5" s="6"/>
      <c r="G5" s="6"/>
      <c r="H5" s="6"/>
      <c r="I5" s="6"/>
    </row>
    <row r="6" ht="22.15" customHeight="1" spans="1:9">
      <c r="A6" s="6"/>
      <c r="B6" s="7"/>
      <c r="C6" s="6"/>
      <c r="D6" s="6"/>
      <c r="E6" s="6"/>
      <c r="F6" s="6"/>
      <c r="G6" s="6"/>
      <c r="H6" s="6"/>
      <c r="I6" s="6"/>
    </row>
    <row r="7" ht="22.15" customHeight="1" spans="1:9">
      <c r="A7" s="6" t="s">
        <v>35</v>
      </c>
      <c r="B7" s="7" t="s">
        <v>10</v>
      </c>
      <c r="C7" s="6"/>
      <c r="D7" s="6"/>
      <c r="E7" s="6"/>
      <c r="F7" s="6">
        <f>概算汇总表!G18</f>
        <v>15.49958455</v>
      </c>
      <c r="G7" s="6"/>
      <c r="H7" s="6">
        <f>F7</f>
        <v>15.49958455</v>
      </c>
      <c r="I7" s="6">
        <f>H7/H13*100</f>
        <v>7.71434561573658</v>
      </c>
    </row>
    <row r="8" ht="22.15" customHeight="1" spans="1:9">
      <c r="A8" s="6"/>
      <c r="B8" s="7"/>
      <c r="C8" s="6"/>
      <c r="D8" s="6"/>
      <c r="E8" s="6"/>
      <c r="F8" s="6"/>
      <c r="G8" s="6"/>
      <c r="H8" s="6"/>
      <c r="I8" s="6"/>
    </row>
    <row r="9" ht="22.15" customHeight="1" spans="1:9">
      <c r="A9" s="6"/>
      <c r="B9" s="7"/>
      <c r="C9" s="6"/>
      <c r="D9" s="6"/>
      <c r="E9" s="6"/>
      <c r="F9" s="6"/>
      <c r="G9" s="6"/>
      <c r="H9" s="6"/>
      <c r="I9" s="6"/>
    </row>
    <row r="10" ht="22.15" customHeight="1" spans="1:9">
      <c r="A10" s="6" t="s">
        <v>48</v>
      </c>
      <c r="B10" s="7" t="s">
        <v>49</v>
      </c>
      <c r="C10" s="6"/>
      <c r="D10" s="6"/>
      <c r="E10" s="6"/>
      <c r="F10" s="6"/>
      <c r="G10" s="6">
        <f>概算汇总表!G27</f>
        <v>5.8520875365</v>
      </c>
      <c r="H10" s="6">
        <f>G10</f>
        <v>5.8520875365</v>
      </c>
      <c r="I10" s="6">
        <v>2.92</v>
      </c>
    </row>
    <row r="11" ht="22.15" customHeight="1" spans="1:9">
      <c r="A11" s="6"/>
      <c r="B11" s="7"/>
      <c r="C11" s="6"/>
      <c r="D11" s="6"/>
      <c r="E11" s="6"/>
      <c r="F11" s="6"/>
      <c r="G11" s="6"/>
      <c r="H11" s="6"/>
      <c r="I11" s="6"/>
    </row>
    <row r="12" ht="22.15" customHeight="1" spans="1:9">
      <c r="A12" s="6"/>
      <c r="B12" s="7"/>
      <c r="C12" s="6"/>
      <c r="D12" s="6"/>
      <c r="E12" s="6"/>
      <c r="F12" s="6"/>
      <c r="G12" s="6"/>
      <c r="H12" s="6"/>
      <c r="I12" s="6"/>
    </row>
    <row r="13" ht="22.15" customHeight="1" spans="1:9">
      <c r="A13" s="6"/>
      <c r="B13" s="7" t="s">
        <v>56</v>
      </c>
      <c r="C13" s="6">
        <f>C4</f>
        <v>48.57730824</v>
      </c>
      <c r="D13" s="6">
        <f>D4</f>
        <v>58.62</v>
      </c>
      <c r="E13" s="6">
        <f>E4</f>
        <v>72.37</v>
      </c>
      <c r="F13" s="6">
        <f>F7</f>
        <v>15.49958455</v>
      </c>
      <c r="G13" s="6">
        <f>G10</f>
        <v>5.8520875365</v>
      </c>
      <c r="H13" s="8">
        <f>C13+D13+E13+F13+G13</f>
        <v>200.9189803265</v>
      </c>
      <c r="I13" s="6">
        <v>100</v>
      </c>
    </row>
    <row r="14" ht="22.15" customHeight="1" spans="1:9">
      <c r="A14" s="6"/>
      <c r="B14" s="7"/>
      <c r="C14" s="6"/>
      <c r="D14" s="6"/>
      <c r="E14" s="6"/>
      <c r="F14" s="6"/>
      <c r="G14" s="6"/>
      <c r="H14" s="6"/>
      <c r="I14" s="6"/>
    </row>
    <row r="15" ht="22.15" customHeight="1" spans="1:9">
      <c r="A15" s="6"/>
      <c r="B15" s="7"/>
      <c r="C15" s="6"/>
      <c r="D15" s="6"/>
      <c r="E15" s="6"/>
      <c r="F15" s="6"/>
      <c r="G15" s="6"/>
      <c r="H15" s="6"/>
      <c r="I15" s="6"/>
    </row>
    <row r="16" ht="22.15" customHeight="1" spans="1:9">
      <c r="A16" s="6"/>
      <c r="B16" s="7" t="s">
        <v>57</v>
      </c>
      <c r="C16" s="6">
        <f>C13/H13*100</f>
        <v>24.1775606072957</v>
      </c>
      <c r="D16" s="6">
        <f>D13/H13*100</f>
        <v>29.1759394282912</v>
      </c>
      <c r="E16" s="6">
        <v>36.01</v>
      </c>
      <c r="F16" s="6">
        <f>F13/H13*100</f>
        <v>7.71434561573658</v>
      </c>
      <c r="G16" s="6">
        <v>2.92</v>
      </c>
      <c r="H16" s="6">
        <f>C16+D16+E16+F16+G16</f>
        <v>99.9978456513235</v>
      </c>
      <c r="I16" s="6"/>
    </row>
    <row r="22" spans="15:19">
      <c r="O22" s="10"/>
      <c r="P22" s="10"/>
      <c r="Q22" s="10"/>
      <c r="R22" s="10"/>
      <c r="S22" s="10"/>
    </row>
    <row r="23" spans="15:19">
      <c r="O23" s="11"/>
      <c r="P23" s="11"/>
      <c r="Q23" s="11"/>
      <c r="R23" s="11"/>
      <c r="S23" s="11"/>
    </row>
    <row r="24" spans="15:19">
      <c r="O24" s="11"/>
      <c r="P24" s="11"/>
      <c r="Q24" s="11"/>
      <c r="R24" s="11"/>
      <c r="S24" s="11"/>
    </row>
  </sheetData>
  <mergeCells count="5">
    <mergeCell ref="A1:I1"/>
    <mergeCell ref="C2:H2"/>
    <mergeCell ref="A2:A3"/>
    <mergeCell ref="B2:B3"/>
    <mergeCell ref="I2:I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9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概算汇总表</vt:lpstr>
      <vt:lpstr>总投资比表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Schatten.</cp:lastModifiedBy>
  <dcterms:created xsi:type="dcterms:W3CDTF">2015-09-21T06:18:00Z</dcterms:created>
  <dcterms:modified xsi:type="dcterms:W3CDTF">2025-06-23T02:48:37Z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C7D05281681E4060BCB735CF63658C85_13</vt:lpwstr>
  </property>
</Properties>
</file>